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8" activeTab="0"/>
  </bookViews>
  <sheets>
    <sheet name="2017" sheetId="1" r:id="rId1"/>
    <sheet name="Storic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<sst xmlns="http://schemas.openxmlformats.org/spreadsheetml/2006/main" count="146" uniqueCount="39">
  <si>
    <t>Trend entrate associazione</t>
  </si>
  <si>
    <t>Anni</t>
  </si>
  <si>
    <t>Euro</t>
  </si>
  <si>
    <t>Delta %</t>
  </si>
  <si>
    <t>Impieghi 2011 per categoria spesa</t>
  </si>
  <si>
    <t>Quota %</t>
  </si>
  <si>
    <t>borse di studio</t>
  </si>
  <si>
    <t>alimentazione</t>
  </si>
  <si>
    <t>tipografia</t>
  </si>
  <si>
    <t>premi lotteria</t>
  </si>
  <si>
    <t>interventi strutture</t>
  </si>
  <si>
    <t>spese bancarie/assicurazioni</t>
  </si>
  <si>
    <t>Impieghi 2012 per categoria spesa</t>
  </si>
  <si>
    <r>
      <t>D</t>
    </r>
    <r>
      <rPr>
        <sz val="11"/>
        <color indexed="8"/>
        <rFont val="Calibri"/>
        <family val="2"/>
      </rPr>
      <t xml:space="preserve"> 12/11</t>
    </r>
  </si>
  <si>
    <t>progetti vari Hisani</t>
  </si>
  <si>
    <t>(biblioteca, dala dala, staff, soggiorno volontari ecc.)</t>
  </si>
  <si>
    <t>organizzazione eventi</t>
  </si>
  <si>
    <t>(costo riso, varie e org. Eventi)</t>
  </si>
  <si>
    <t>Impieghi 2013 per categoria spesa</t>
  </si>
  <si>
    <r>
      <t>D</t>
    </r>
    <r>
      <rPr>
        <sz val="11"/>
        <color indexed="8"/>
        <rFont val="Calibri"/>
        <family val="2"/>
      </rPr>
      <t xml:space="preserve"> 13/12</t>
    </r>
  </si>
  <si>
    <t>alimentazione e gestione</t>
  </si>
  <si>
    <t>(alimentazione e staff)</t>
  </si>
  <si>
    <t>(varie, sogg. Volontari)</t>
  </si>
  <si>
    <t>(acquisti x cene, cesti Natale e artigianato)</t>
  </si>
  <si>
    <t>Impieghi 2014 per categoria spesa</t>
  </si>
  <si>
    <r>
      <t>D</t>
    </r>
    <r>
      <rPr>
        <sz val="11"/>
        <color indexed="8"/>
        <rFont val="Calibri"/>
        <family val="2"/>
      </rPr>
      <t xml:space="preserve"> 14/13</t>
    </r>
  </si>
  <si>
    <t>Impieghi 2015 per categoria spesa</t>
  </si>
  <si>
    <r>
      <t>D</t>
    </r>
    <r>
      <rPr>
        <sz val="11"/>
        <color indexed="8"/>
        <rFont val="Calibri"/>
        <family val="2"/>
      </rPr>
      <t xml:space="preserve"> 15/14</t>
    </r>
  </si>
  <si>
    <t>(alimentazione, staff e ripetizioni)</t>
  </si>
  <si>
    <t>(varie,ass.ne sanitaria, sogg. Volontari)</t>
  </si>
  <si>
    <t>premi lotterie</t>
  </si>
  <si>
    <t>Impieghi 2016 per categoria spesa</t>
  </si>
  <si>
    <r>
      <t>D</t>
    </r>
    <r>
      <rPr>
        <sz val="11"/>
        <color indexed="8"/>
        <rFont val="Calibri"/>
        <family val="2"/>
      </rPr>
      <t xml:space="preserve"> 16/15</t>
    </r>
  </si>
  <si>
    <t>1a casetta compound</t>
  </si>
  <si>
    <t>Delta 16/15 per categoria spesa</t>
  </si>
  <si>
    <t>Impieghi 2017 per categoria spesa</t>
  </si>
  <si>
    <r>
      <t>D</t>
    </r>
    <r>
      <rPr>
        <sz val="11"/>
        <color indexed="8"/>
        <rFont val="Calibri"/>
        <family val="2"/>
      </rPr>
      <t xml:space="preserve"> 17/16</t>
    </r>
  </si>
  <si>
    <t>Delta 17/16 per categoria spesa</t>
  </si>
  <si>
    <t>Tabelle e grafici Anno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</si>
</sst>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#,##0\ ;\-#,##0\ ;&quot; -&quot;#\ ;@\ "/>
    <numFmt numFmtId="166" formatCode="0.0%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Symbol"/>
      <family val="1"/>
    </font>
    <font>
      <sz val="16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>
      <alignment/>
      <protection/>
    </xf>
    <xf numFmtId="0" fontId="6" fillId="3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7" fillId="13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42">
      <alignment/>
      <protection/>
    </xf>
    <xf numFmtId="165" fontId="1" fillId="0" borderId="0" xfId="44" applyNumberFormat="1" applyFont="1" applyFill="1" applyBorder="1" applyAlignment="1" applyProtection="1">
      <alignment/>
      <protection/>
    </xf>
    <xf numFmtId="9" fontId="1" fillId="0" borderId="0" xfId="49" applyFont="1" applyFill="1" applyBorder="1" applyAlignment="1" applyProtection="1">
      <alignment/>
      <protection/>
    </xf>
    <xf numFmtId="0" fontId="18" fillId="0" borderId="0" xfId="42" applyFont="1">
      <alignment/>
      <protection/>
    </xf>
    <xf numFmtId="10" fontId="1" fillId="0" borderId="0" xfId="42" applyNumberFormat="1">
      <alignment/>
      <protection/>
    </xf>
    <xf numFmtId="166" fontId="1" fillId="0" borderId="0" xfId="49" applyNumberFormat="1" applyFont="1" applyFill="1" applyBorder="1" applyAlignment="1" applyProtection="1">
      <alignment/>
      <protection/>
    </xf>
    <xf numFmtId="165" fontId="1" fillId="0" borderId="0" xfId="42" applyNumberFormat="1">
      <alignment/>
      <protection/>
    </xf>
    <xf numFmtId="10" fontId="1" fillId="0" borderId="0" xfId="49" applyNumberFormat="1">
      <alignment/>
      <protection/>
    </xf>
    <xf numFmtId="0" fontId="19" fillId="0" borderId="0" xfId="42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9BBB59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79646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4F81BD"/>
      <rgbColor rgb="004BACC6"/>
      <rgbColor rgb="00AECF00"/>
      <rgbColor rgb="00FFD320"/>
      <rgbColor rgb="00FF950E"/>
      <rgbColor rgb="00E46C0A"/>
      <rgbColor rgb="008064A2"/>
      <rgbColor rgb="00969696"/>
      <rgbColor rgb="00004586"/>
      <rgbColor rgb="00579D1C"/>
      <rgbColor rgb="00003300"/>
      <rgbColor rgb="00314004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Trend entrate associazione in Euro e Delta %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8325"/>
          <c:w val="0.851"/>
          <c:h val="0.64525"/>
        </c:manualLayout>
      </c:layout>
      <c:barChart>
        <c:barDir val="col"/>
        <c:grouping val="clustered"/>
        <c:varyColors val="0"/>
        <c:ser>
          <c:idx val="0"/>
          <c:order val="1"/>
          <c:tx>
            <c:v>Euro</c:v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'2017'!$B$4:$B$15</c:f>
              <c:numCache/>
            </c:numRef>
          </c:val>
        </c:ser>
        <c:gapWidth val="100"/>
        <c:axId val="43094913"/>
        <c:axId val="52309898"/>
      </c:barChart>
      <c:lineChart>
        <c:grouping val="standard"/>
        <c:varyColors val="0"/>
        <c:ser>
          <c:idx val="0"/>
          <c:order val="0"/>
          <c:tx>
            <c:v>Anni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'2017'!$A$4:$A$15</c:f>
              <c:numCache/>
            </c:numRef>
          </c:val>
          <c:smooth val="0"/>
        </c:ser>
        <c:axId val="43094913"/>
        <c:axId val="52309898"/>
      </c:lineChart>
      <c:lineChart>
        <c:grouping val="standard"/>
        <c:varyColors val="0"/>
        <c:ser>
          <c:idx val="1"/>
          <c:order val="2"/>
          <c:tx>
            <c:v>Delta</c:v>
          </c:tx>
          <c:spPr>
            <a:ln w="25400"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'2017'!$C$4:$C$15</c:f>
              <c:numCache/>
            </c:numRef>
          </c:val>
          <c:smooth val="0"/>
        </c:ser>
        <c:axId val="1027035"/>
        <c:axId val="9243316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crossAx val="52309898"/>
        <c:crosses val="autoZero"/>
        <c:auto val="0"/>
        <c:lblOffset val="100"/>
        <c:tickLblSkip val="1"/>
        <c:noMultiLvlLbl val="0"/>
      </c:catAx>
      <c:valAx>
        <c:axId val="52309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At val="1"/>
        <c:crossBetween val="midCat"/>
        <c:dispUnits/>
      </c:valAx>
      <c:catAx>
        <c:axId val="1027035"/>
        <c:scaling>
          <c:orientation val="minMax"/>
        </c:scaling>
        <c:axPos val="b"/>
        <c:delete val="1"/>
        <c:majorTickMark val="out"/>
        <c:minorTickMark val="none"/>
        <c:tickLblPos val="nextTo"/>
        <c:crossAx val="9243316"/>
        <c:crosses val="autoZero"/>
        <c:auto val="1"/>
        <c:lblOffset val="100"/>
        <c:tickLblSkip val="1"/>
        <c:noMultiLvlLbl val="0"/>
      </c:catAx>
      <c:valAx>
        <c:axId val="9243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70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2016 per categoria di spesa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29425"/>
          <c:w val="0.465"/>
          <c:h val="0.63575"/>
        </c:manualLayout>
      </c:layout>
      <c:pieChart>
        <c:varyColors val="1"/>
        <c:ser>
          <c:idx val="0"/>
          <c:order val="0"/>
          <c:tx>
            <c:strRef>
              <c:f>Storico!$C$156</c:f>
              <c:strCache>
                <c:ptCount val="1"/>
                <c:pt idx="0">
                  <c:v>Quota %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Storico!$A$157:$A$164</c:f>
              <c:strCache/>
            </c:strRef>
          </c:cat>
          <c:val>
            <c:numRef>
              <c:f>Storico!$C$157:$C$164</c:f>
              <c:numCache/>
            </c:numRef>
          </c:val>
        </c:ser>
        <c:firstSliceAng val="90"/>
      </c:pieChart>
      <c:spPr>
        <a:noFill/>
        <a:ln w="3175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Delta 2016 vs 2015 per categoria di spesa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67"/>
          <c:w val="0.9457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Storico!$B$177</c:f>
              <c:strCache>
                <c:ptCount val="1"/>
                <c:pt idx="0">
                  <c:v>D 16/15</c:v>
                </c:pt>
              </c:strCache>
            </c:strRef>
          </c:tx>
          <c:spPr>
            <a:solidFill>
              <a:srgbClr val="FF950E"/>
            </a:solidFill>
            <a:ln w="3175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Storico!$A$178:$A$185</c:f>
              <c:strCache/>
            </c:strRef>
          </c:cat>
          <c:val>
            <c:numRef>
              <c:f>Storico!$B$178:$B$185</c:f>
              <c:numCache/>
            </c:numRef>
          </c:val>
        </c:ser>
        <c:gapWidth val="100"/>
        <c:axId val="47295107"/>
        <c:axId val="23002780"/>
      </c:barChart>
      <c:catAx>
        <c:axId val="4729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02780"/>
        <c:crosses val="autoZero"/>
        <c:auto val="1"/>
        <c:lblOffset val="100"/>
        <c:tickLblSkip val="2"/>
        <c:noMultiLvlLbl val="0"/>
      </c:catAx>
      <c:valAx>
        <c:axId val="23002780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2017 per categoria di spesa</a:t>
            </a:r>
          </a:p>
        </c:rich>
      </c:tx>
      <c:layout>
        <c:manualLayout>
          <c:xMode val="factor"/>
          <c:yMode val="factor"/>
          <c:x val="-0.011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75"/>
          <c:y val="0.30025"/>
          <c:w val="0.466"/>
          <c:h val="0.6217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spese bancarie/ass.oni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Storico!$A$203:$A$210</c:f>
              <c:strCache/>
            </c:strRef>
          </c:cat>
          <c:val>
            <c:numRef>
              <c:f>Storico!$C$203:$C$210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Delta 2017 vs 2016 per categoria di spesa</a:t>
            </a:r>
          </a:p>
        </c:rich>
      </c:tx>
      <c:layout>
        <c:manualLayout>
          <c:xMode val="factor"/>
          <c:yMode val="factor"/>
          <c:x val="0.041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525"/>
          <c:y val="0.10625"/>
          <c:w val="0.7232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50E"/>
            </a:solidFill>
            <a:ln w="3175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Storico!$A$227:$A$234</c:f>
              <c:strCache/>
            </c:strRef>
          </c:cat>
          <c:val>
            <c:numRef>
              <c:f>Storico!$B$227:$B$234</c:f>
              <c:numCache/>
            </c:numRef>
          </c:val>
        </c:ser>
        <c:gapWidth val="100"/>
        <c:axId val="5698429"/>
        <c:axId val="51285862"/>
      </c:barChart>
      <c:dateAx>
        <c:axId val="5698429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285862"/>
        <c:scaling>
          <c:orientation val="minMax"/>
          <c:min val="-1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9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2017 per categoria di spesa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75"/>
          <c:y val="0.29225"/>
          <c:w val="0.43725"/>
          <c:h val="0.638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spese bancarie/ass.oni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'2017'!$A$27:$A$34</c:f>
              <c:strCache/>
            </c:strRef>
          </c:cat>
          <c:val>
            <c:numRef>
              <c:f>'2017'!$C$27:$C$34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Delta 2017 vs 2016 per categoria di spesa</a:t>
            </a:r>
          </a:p>
        </c:rich>
      </c:tx>
      <c:layout>
        <c:manualLayout>
          <c:xMode val="factor"/>
          <c:yMode val="factor"/>
          <c:x val="0.041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725"/>
          <c:y val="0.10625"/>
          <c:w val="0.717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50E"/>
            </a:solidFill>
            <a:ln w="3175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'2017'!$A$53:$A$60</c:f>
              <c:strCache/>
            </c:strRef>
          </c:cat>
          <c:val>
            <c:numRef>
              <c:f>'2017'!$B$53:$B$60</c:f>
              <c:numCache/>
            </c:numRef>
          </c:val>
        </c:ser>
        <c:gapWidth val="100"/>
        <c:axId val="16080981"/>
        <c:axId val="10511102"/>
      </c:barChart>
      <c:dateAx>
        <c:axId val="1608098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511102"/>
        <c:scaling>
          <c:orientation val="minMax"/>
          <c:min val="-0.5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Trend entrate associazione in Euro e Delta %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075"/>
          <c:w val="0.94"/>
          <c:h val="0.708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Storico!$B$2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Storico!$B$3:$B$13</c:f>
              <c:numCache/>
            </c:numRef>
          </c:val>
        </c:ser>
        <c:gapWidth val="100"/>
        <c:axId val="27491055"/>
        <c:axId val="46092904"/>
      </c:barChart>
      <c:lineChart>
        <c:grouping val="standard"/>
        <c:varyColors val="0"/>
        <c:ser>
          <c:idx val="0"/>
          <c:order val="0"/>
          <c:tx>
            <c:strRef>
              <c:f>Storico!$C$2</c:f>
              <c:strCache>
                <c:ptCount val="1"/>
                <c:pt idx="0">
                  <c:v>Delta %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Storico!$A$3:$A$13</c:f>
              <c:numCache/>
            </c:numRef>
          </c:cat>
          <c:val>
            <c:numRef>
              <c:f>Storico!$C$3:$C$13</c:f>
              <c:numCache/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182953"/>
        <c:crossesAt val="1"/>
        <c:crossBetween val="midCat"/>
        <c:dispUnits/>
      </c:valAx>
      <c:catAx>
        <c:axId val="27491055"/>
        <c:scaling>
          <c:orientation val="minMax"/>
        </c:scaling>
        <c:axPos val="b"/>
        <c:delete val="1"/>
        <c:majorTickMark val="out"/>
        <c:minorTickMark val="none"/>
        <c:tickLblPos val="nextTo"/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4910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2014 per categoria di spesa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45"/>
          <c:y val="0.3775"/>
          <c:w val="0.269"/>
          <c:h val="0.38775"/>
        </c:manualLayout>
      </c:layout>
      <c:pieChart>
        <c:varyColors val="1"/>
        <c:ser>
          <c:idx val="0"/>
          <c:order val="0"/>
          <c:tx>
            <c:strRef>
              <c:f>Storico!$C$109</c:f>
              <c:strCache>
                <c:ptCount val="1"/>
                <c:pt idx="0">
                  <c:v>Quota %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Storico!$A$110:$A$117</c:f>
              <c:strCache/>
            </c:strRef>
          </c:cat>
          <c:val>
            <c:numRef>
              <c:f>Storico!$C$110:$C$117</c:f>
              <c:numCache/>
            </c:numRef>
          </c:val>
        </c:ser>
        <c:firstSliceAng val="90"/>
      </c:pieChart>
      <c:spPr>
        <a:noFill/>
        <a:ln w="3175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2015 per categoria spesa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37675"/>
          <c:w val="0.2675"/>
          <c:h val="0.38725"/>
        </c:manualLayout>
      </c:layout>
      <c:pieChart>
        <c:varyColors val="1"/>
        <c:ser>
          <c:idx val="0"/>
          <c:order val="0"/>
          <c:tx>
            <c:strRef>
              <c:f>Storico!$C$140</c:f>
              <c:strCache>
                <c:ptCount val="1"/>
                <c:pt idx="0">
                  <c:v>Quota %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Storico!$A$141:$A$148</c:f>
              <c:strCache/>
            </c:strRef>
          </c:cat>
          <c:val>
            <c:numRef>
              <c:f>Storico!$C$141:$C$148</c:f>
              <c:numCache/>
            </c:numRef>
          </c:val>
        </c:ser>
        <c:firstSliceAng val="90"/>
      </c:pieChart>
      <c:spPr>
        <a:noFill/>
        <a:ln w="3175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2013 per categoria spesa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125"/>
          <c:y val="0.404"/>
          <c:w val="0.21525"/>
          <c:h val="0.343"/>
        </c:manualLayout>
      </c:layout>
      <c:pieChart>
        <c:varyColors val="1"/>
        <c:ser>
          <c:idx val="0"/>
          <c:order val="0"/>
          <c:tx>
            <c:strRef>
              <c:f>Storico!$C$81</c:f>
              <c:strCache>
                <c:ptCount val="1"/>
                <c:pt idx="0">
                  <c:v>Quota %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Storico!$A$82:$A$89</c:f>
              <c:strCache/>
            </c:strRef>
          </c:cat>
          <c:val>
            <c:numRef>
              <c:f>Storico!$C$82:$C$89</c:f>
              <c:numCache/>
            </c:numRef>
          </c:val>
        </c:ser>
        <c:firstSliceAng val="90"/>
      </c:pieChart>
      <c:spPr>
        <a:noFill/>
        <a:ln w="3175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2012 per categoria spesa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125"/>
          <c:y val="0.403"/>
          <c:w val="0.21725"/>
          <c:h val="0.34475"/>
        </c:manualLayout>
      </c:layout>
      <c:pieChart>
        <c:varyColors val="1"/>
        <c:ser>
          <c:idx val="0"/>
          <c:order val="0"/>
          <c:tx>
            <c:strRef>
              <c:f>Storico!$C$54</c:f>
              <c:strCache>
                <c:ptCount val="1"/>
                <c:pt idx="0">
                  <c:v>Quota %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Storico!$A$55:$A$62</c:f>
              <c:strCache/>
            </c:strRef>
          </c:cat>
          <c:val>
            <c:numRef>
              <c:f>Storico!$C$55:$C$62</c:f>
              <c:numCache/>
            </c:numRef>
          </c:val>
        </c:ser>
        <c:firstSliceAng val="90"/>
      </c:pieChart>
      <c:spPr>
        <a:noFill/>
        <a:ln w="3175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Impieghi 2011 per categoria spesa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"/>
          <c:y val="0.40275"/>
          <c:w val="0.218"/>
          <c:h val="0.34625"/>
        </c:manualLayout>
      </c:layout>
      <c:pieChart>
        <c:varyColors val="1"/>
        <c:ser>
          <c:idx val="0"/>
          <c:order val="0"/>
          <c:tx>
            <c:strRef>
              <c:f>Storico!$C$28</c:f>
              <c:strCache>
                <c:ptCount val="1"/>
                <c:pt idx="0">
                  <c:v>Quota %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 </c:separator>
          </c:dLbls>
          <c:cat>
            <c:strRef>
              <c:f>Storico!$A$29:$A$34</c:f>
              <c:strCache/>
            </c:strRef>
          </c:cat>
          <c:val>
            <c:numRef>
              <c:f>Storico!$C$29:$C$34</c:f>
              <c:numCache/>
            </c:numRef>
          </c:val>
        </c:ser>
        <c:firstSliceAng val="90"/>
      </c:pieChart>
      <c:spPr>
        <a:noFill/>
        <a:ln w="3175"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0</xdr:rowOff>
    </xdr:from>
    <xdr:to>
      <xdr:col>16</xdr:col>
      <xdr:colOff>247650</xdr:colOff>
      <xdr:row>22</xdr:row>
      <xdr:rowOff>76200</xdr:rowOff>
    </xdr:to>
    <xdr:graphicFrame>
      <xdr:nvGraphicFramePr>
        <xdr:cNvPr id="1" name="Grafico 1"/>
        <xdr:cNvGraphicFramePr/>
      </xdr:nvGraphicFramePr>
      <xdr:xfrm>
        <a:off x="4010025" y="266700"/>
        <a:ext cx="6715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22</xdr:row>
      <xdr:rowOff>171450</xdr:rowOff>
    </xdr:from>
    <xdr:to>
      <xdr:col>17</xdr:col>
      <xdr:colOff>371475</xdr:colOff>
      <xdr:row>44</xdr:row>
      <xdr:rowOff>85725</xdr:rowOff>
    </xdr:to>
    <xdr:graphicFrame>
      <xdr:nvGraphicFramePr>
        <xdr:cNvPr id="2" name="Grafico 7"/>
        <xdr:cNvGraphicFramePr/>
      </xdr:nvGraphicFramePr>
      <xdr:xfrm>
        <a:off x="5467350" y="4238625"/>
        <a:ext cx="5962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571500</xdr:colOff>
      <xdr:row>47</xdr:row>
      <xdr:rowOff>38100</xdr:rowOff>
    </xdr:from>
    <xdr:to>
      <xdr:col>16</xdr:col>
      <xdr:colOff>28575</xdr:colOff>
      <xdr:row>70</xdr:row>
      <xdr:rowOff>0</xdr:rowOff>
    </xdr:to>
    <xdr:graphicFrame>
      <xdr:nvGraphicFramePr>
        <xdr:cNvPr id="3" name="Grafico 8"/>
        <xdr:cNvGraphicFramePr/>
      </xdr:nvGraphicFramePr>
      <xdr:xfrm>
        <a:off x="3495675" y="8677275"/>
        <a:ext cx="70104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14</xdr:col>
      <xdr:colOff>419100</xdr:colOff>
      <xdr:row>26</xdr:row>
      <xdr:rowOff>114300</xdr:rowOff>
    </xdr:to>
    <xdr:graphicFrame>
      <xdr:nvGraphicFramePr>
        <xdr:cNvPr id="1" name="Grafico 1"/>
        <xdr:cNvGraphicFramePr/>
      </xdr:nvGraphicFramePr>
      <xdr:xfrm>
        <a:off x="2733675" y="0"/>
        <a:ext cx="66389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107</xdr:row>
      <xdr:rowOff>76200</xdr:rowOff>
    </xdr:from>
    <xdr:to>
      <xdr:col>16</xdr:col>
      <xdr:colOff>276225</xdr:colOff>
      <xdr:row>127</xdr:row>
      <xdr:rowOff>85725</xdr:rowOff>
    </xdr:to>
    <xdr:graphicFrame>
      <xdr:nvGraphicFramePr>
        <xdr:cNvPr id="2" name="Grafico 2"/>
        <xdr:cNvGraphicFramePr/>
      </xdr:nvGraphicFramePr>
      <xdr:xfrm>
        <a:off x="4924425" y="18973800"/>
        <a:ext cx="54673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129</xdr:row>
      <xdr:rowOff>161925</xdr:rowOff>
    </xdr:from>
    <xdr:to>
      <xdr:col>16</xdr:col>
      <xdr:colOff>390525</xdr:colOff>
      <xdr:row>150</xdr:row>
      <xdr:rowOff>9525</xdr:rowOff>
    </xdr:to>
    <xdr:graphicFrame>
      <xdr:nvGraphicFramePr>
        <xdr:cNvPr id="3" name="Grafico 3"/>
        <xdr:cNvGraphicFramePr/>
      </xdr:nvGraphicFramePr>
      <xdr:xfrm>
        <a:off x="4972050" y="23050500"/>
        <a:ext cx="55340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485775</xdr:colOff>
      <xdr:row>76</xdr:row>
      <xdr:rowOff>85725</xdr:rowOff>
    </xdr:from>
    <xdr:to>
      <xdr:col>17</xdr:col>
      <xdr:colOff>142875</xdr:colOff>
      <xdr:row>94</xdr:row>
      <xdr:rowOff>133350</xdr:rowOff>
    </xdr:to>
    <xdr:graphicFrame>
      <xdr:nvGraphicFramePr>
        <xdr:cNvPr id="4" name="Grafico 4"/>
        <xdr:cNvGraphicFramePr/>
      </xdr:nvGraphicFramePr>
      <xdr:xfrm>
        <a:off x="5372100" y="13611225"/>
        <a:ext cx="54673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533400</xdr:colOff>
      <xdr:row>47</xdr:row>
      <xdr:rowOff>123825</xdr:rowOff>
    </xdr:from>
    <xdr:to>
      <xdr:col>17</xdr:col>
      <xdr:colOff>190500</xdr:colOff>
      <xdr:row>66</xdr:row>
      <xdr:rowOff>9525</xdr:rowOff>
    </xdr:to>
    <xdr:graphicFrame>
      <xdr:nvGraphicFramePr>
        <xdr:cNvPr id="5" name="Grafico 5"/>
        <xdr:cNvGraphicFramePr/>
      </xdr:nvGraphicFramePr>
      <xdr:xfrm>
        <a:off x="5419725" y="8610600"/>
        <a:ext cx="546735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523875</xdr:colOff>
      <xdr:row>28</xdr:row>
      <xdr:rowOff>190500</xdr:rowOff>
    </xdr:from>
    <xdr:to>
      <xdr:col>17</xdr:col>
      <xdr:colOff>171450</xdr:colOff>
      <xdr:row>47</xdr:row>
      <xdr:rowOff>38100</xdr:rowOff>
    </xdr:to>
    <xdr:graphicFrame>
      <xdr:nvGraphicFramePr>
        <xdr:cNvPr id="6" name="Grafico 6"/>
        <xdr:cNvGraphicFramePr/>
      </xdr:nvGraphicFramePr>
      <xdr:xfrm>
        <a:off x="5410200" y="5181600"/>
        <a:ext cx="5457825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47625</xdr:colOff>
      <xdr:row>152</xdr:row>
      <xdr:rowOff>133350</xdr:rowOff>
    </xdr:from>
    <xdr:to>
      <xdr:col>15</xdr:col>
      <xdr:colOff>514350</xdr:colOff>
      <xdr:row>174</xdr:row>
      <xdr:rowOff>133350</xdr:rowOff>
    </xdr:to>
    <xdr:graphicFrame>
      <xdr:nvGraphicFramePr>
        <xdr:cNvPr id="7" name="Grafico 7"/>
        <xdr:cNvGraphicFramePr/>
      </xdr:nvGraphicFramePr>
      <xdr:xfrm>
        <a:off x="4352925" y="27517725"/>
        <a:ext cx="5695950" cy="3933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581025</xdr:colOff>
      <xdr:row>176</xdr:row>
      <xdr:rowOff>114300</xdr:rowOff>
    </xdr:from>
    <xdr:to>
      <xdr:col>12</xdr:col>
      <xdr:colOff>466725</xdr:colOff>
      <xdr:row>196</xdr:row>
      <xdr:rowOff>28575</xdr:rowOff>
    </xdr:to>
    <xdr:graphicFrame>
      <xdr:nvGraphicFramePr>
        <xdr:cNvPr id="8" name="Grafico 8"/>
        <xdr:cNvGraphicFramePr/>
      </xdr:nvGraphicFramePr>
      <xdr:xfrm>
        <a:off x="2562225" y="31784925"/>
        <a:ext cx="5695950" cy="3419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581025</xdr:colOff>
      <xdr:row>199</xdr:row>
      <xdr:rowOff>28575</xdr:rowOff>
    </xdr:from>
    <xdr:to>
      <xdr:col>17</xdr:col>
      <xdr:colOff>219075</xdr:colOff>
      <xdr:row>223</xdr:row>
      <xdr:rowOff>0</xdr:rowOff>
    </xdr:to>
    <xdr:graphicFrame>
      <xdr:nvGraphicFramePr>
        <xdr:cNvPr id="9" name="Grafico 7"/>
        <xdr:cNvGraphicFramePr/>
      </xdr:nvGraphicFramePr>
      <xdr:xfrm>
        <a:off x="4886325" y="35709225"/>
        <a:ext cx="602932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161925</xdr:colOff>
      <xdr:row>225</xdr:row>
      <xdr:rowOff>9525</xdr:rowOff>
    </xdr:from>
    <xdr:to>
      <xdr:col>15</xdr:col>
      <xdr:colOff>200025</xdr:colOff>
      <xdr:row>247</xdr:row>
      <xdr:rowOff>133350</xdr:rowOff>
    </xdr:to>
    <xdr:graphicFrame>
      <xdr:nvGraphicFramePr>
        <xdr:cNvPr id="10" name="Grafico 8"/>
        <xdr:cNvGraphicFramePr/>
      </xdr:nvGraphicFramePr>
      <xdr:xfrm>
        <a:off x="2724150" y="40328850"/>
        <a:ext cx="7010400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45">
      <selection activeCell="B66" sqref="B66"/>
    </sheetView>
  </sheetViews>
  <sheetFormatPr defaultColWidth="8.7109375" defaultRowHeight="12.75"/>
  <cols>
    <col min="1" max="1" width="26.421875" style="1" customWidth="1"/>
    <col min="2" max="16384" width="8.7109375" style="1" customWidth="1"/>
  </cols>
  <sheetData>
    <row r="1" ht="21">
      <c r="A1" s="9" t="s">
        <v>38</v>
      </c>
    </row>
    <row r="2" ht="15">
      <c r="A2" s="1" t="s">
        <v>0</v>
      </c>
    </row>
    <row r="3" spans="1:3" ht="15">
      <c r="A3" s="1" t="s">
        <v>1</v>
      </c>
      <c r="B3" s="1" t="s">
        <v>2</v>
      </c>
      <c r="C3" s="1" t="s">
        <v>3</v>
      </c>
    </row>
    <row r="4" spans="1:2" ht="15">
      <c r="A4" s="1">
        <v>2006</v>
      </c>
      <c r="B4" s="2">
        <v>11580</v>
      </c>
    </row>
    <row r="5" spans="1:3" ht="15">
      <c r="A5" s="1">
        <v>2007</v>
      </c>
      <c r="B5" s="2">
        <v>9088</v>
      </c>
      <c r="C5" s="3">
        <f aca="true" t="shared" si="0" ref="C5:C15">(B5-B4)/B4</f>
        <v>-0.2151986183074266</v>
      </c>
    </row>
    <row r="6" spans="1:3" ht="15">
      <c r="A6" s="1">
        <v>2008</v>
      </c>
      <c r="B6" s="2">
        <v>10995</v>
      </c>
      <c r="C6" s="3">
        <f t="shared" si="0"/>
        <v>0.20983714788732394</v>
      </c>
    </row>
    <row r="7" spans="1:3" ht="15">
      <c r="A7" s="1">
        <v>2009</v>
      </c>
      <c r="B7" s="2">
        <v>24643</v>
      </c>
      <c r="C7" s="3">
        <f t="shared" si="0"/>
        <v>1.2412914961346067</v>
      </c>
    </row>
    <row r="8" spans="1:3" ht="15">
      <c r="A8" s="1">
        <v>2010</v>
      </c>
      <c r="B8" s="2">
        <v>33474</v>
      </c>
      <c r="C8" s="3">
        <f t="shared" si="0"/>
        <v>0.3583573428559834</v>
      </c>
    </row>
    <row r="9" spans="1:3" ht="15">
      <c r="A9" s="1">
        <v>2011</v>
      </c>
      <c r="B9" s="2">
        <v>47520</v>
      </c>
      <c r="C9" s="3">
        <f t="shared" si="0"/>
        <v>0.41960924896934937</v>
      </c>
    </row>
    <row r="10" spans="1:3" ht="15">
      <c r="A10" s="1">
        <v>2012</v>
      </c>
      <c r="B10" s="2">
        <v>76599</v>
      </c>
      <c r="C10" s="3">
        <f t="shared" si="0"/>
        <v>0.6119318181818182</v>
      </c>
    </row>
    <row r="11" spans="1:3" ht="15">
      <c r="A11" s="1">
        <v>2013</v>
      </c>
      <c r="B11" s="2">
        <v>135921.14</v>
      </c>
      <c r="C11" s="3">
        <f t="shared" si="0"/>
        <v>0.7744505802947821</v>
      </c>
    </row>
    <row r="12" spans="1:3" ht="15">
      <c r="A12" s="1">
        <v>2014</v>
      </c>
      <c r="B12" s="2">
        <v>93117</v>
      </c>
      <c r="C12" s="3">
        <f t="shared" si="0"/>
        <v>-0.3149189301973189</v>
      </c>
    </row>
    <row r="13" spans="1:3" ht="15">
      <c r="A13" s="1">
        <v>2015</v>
      </c>
      <c r="B13" s="2">
        <v>101017</v>
      </c>
      <c r="C13" s="3">
        <f t="shared" si="0"/>
        <v>0.08483950299086096</v>
      </c>
    </row>
    <row r="14" spans="1:3" ht="15">
      <c r="A14" s="1">
        <v>2016</v>
      </c>
      <c r="B14" s="2">
        <v>109522</v>
      </c>
      <c r="C14" s="3">
        <f t="shared" si="0"/>
        <v>0.08419374956690458</v>
      </c>
    </row>
    <row r="15" spans="1:3" ht="15">
      <c r="A15" s="1">
        <v>2017</v>
      </c>
      <c r="B15" s="2">
        <v>110184.19</v>
      </c>
      <c r="C15" s="3">
        <f t="shared" si="0"/>
        <v>0.0060461825021457085</v>
      </c>
    </row>
    <row r="25" ht="15">
      <c r="A25" s="1" t="s">
        <v>35</v>
      </c>
    </row>
    <row r="26" spans="3:5" ht="15">
      <c r="C26" s="1" t="s">
        <v>5</v>
      </c>
      <c r="E26" s="4"/>
    </row>
    <row r="27" spans="1:5" ht="15">
      <c r="A27" s="1" t="s">
        <v>6</v>
      </c>
      <c r="B27" s="2">
        <v>36311</v>
      </c>
      <c r="C27" s="3">
        <f>B27/$B$36</f>
        <v>0.32954818654109996</v>
      </c>
      <c r="E27" s="5"/>
    </row>
    <row r="28" spans="1:5" ht="15">
      <c r="A28" s="1" t="s">
        <v>10</v>
      </c>
      <c r="B28" s="2">
        <v>3673</v>
      </c>
      <c r="C28" s="3">
        <f aca="true" t="shared" si="1" ref="C28:C36">B28/$B$36</f>
        <v>0.03333509099626725</v>
      </c>
      <c r="D28" s="1" t="s">
        <v>33</v>
      </c>
      <c r="E28" s="5"/>
    </row>
    <row r="29" spans="1:5" ht="15">
      <c r="A29" s="1" t="s">
        <v>20</v>
      </c>
      <c r="B29" s="2">
        <f>30000+14450+2400</f>
        <v>46850</v>
      </c>
      <c r="C29" s="3">
        <f t="shared" si="1"/>
        <v>0.4251971176627064</v>
      </c>
      <c r="D29" s="1" t="s">
        <v>28</v>
      </c>
      <c r="E29" s="5"/>
    </row>
    <row r="30" spans="1:5" ht="15">
      <c r="A30" s="1" t="s">
        <v>14</v>
      </c>
      <c r="B30" s="2">
        <f>4275+3700+3078</f>
        <v>11053</v>
      </c>
      <c r="C30" s="3">
        <f t="shared" si="1"/>
        <v>0.10031384720439475</v>
      </c>
      <c r="D30" s="1" t="s">
        <v>29</v>
      </c>
      <c r="E30" s="5"/>
    </row>
    <row r="31" spans="1:5" ht="15">
      <c r="A31" s="1" t="s">
        <v>16</v>
      </c>
      <c r="B31" s="2">
        <f>6285.09+1000.2+990.02</f>
        <v>8275.31</v>
      </c>
      <c r="C31" s="3">
        <f t="shared" si="1"/>
        <v>0.07510433211879126</v>
      </c>
      <c r="D31" s="1" t="s">
        <v>23</v>
      </c>
      <c r="E31" s="5"/>
    </row>
    <row r="32" spans="1:5" ht="15">
      <c r="A32" s="1" t="s">
        <v>8</v>
      </c>
      <c r="B32" s="2">
        <f>150+1132+9.97</f>
        <v>1291.97</v>
      </c>
      <c r="C32" s="3">
        <f t="shared" si="1"/>
        <v>0.011725547921167274</v>
      </c>
      <c r="E32" s="5"/>
    </row>
    <row r="33" spans="1:5" ht="15">
      <c r="A33" s="1" t="s">
        <v>11</v>
      </c>
      <c r="B33" s="2">
        <f>30+20+360+129.25+596.28+115.75</f>
        <v>1251.28</v>
      </c>
      <c r="C33" s="3">
        <f t="shared" si="1"/>
        <v>0.01135625719080024</v>
      </c>
      <c r="E33" s="5"/>
    </row>
    <row r="34" spans="1:5" ht="15">
      <c r="A34" s="1" t="s">
        <v>30</v>
      </c>
      <c r="B34" s="2">
        <f>986.2+492.43</f>
        <v>1478.63</v>
      </c>
      <c r="C34" s="3">
        <f t="shared" si="1"/>
        <v>0.013419620364772842</v>
      </c>
      <c r="E34" s="5"/>
    </row>
    <row r="35" spans="1:5" ht="15">
      <c r="A35"/>
      <c r="B35"/>
      <c r="C35"/>
      <c r="E35" s="5"/>
    </row>
    <row r="36" spans="2:5" ht="15">
      <c r="B36" s="2">
        <f>SUM(B27:B35)</f>
        <v>110184.19</v>
      </c>
      <c r="C36" s="3">
        <f t="shared" si="1"/>
        <v>1</v>
      </c>
      <c r="E36" s="5"/>
    </row>
    <row r="37" spans="2:5" ht="15">
      <c r="B37" s="2"/>
      <c r="C37" s="3"/>
      <c r="E37" s="5"/>
    </row>
    <row r="38" spans="2:5" ht="15">
      <c r="B38" s="2"/>
      <c r="C38" s="3"/>
      <c r="E38" s="5"/>
    </row>
    <row r="39" spans="2:5" ht="15">
      <c r="B39" s="2"/>
      <c r="C39" s="3"/>
      <c r="E39" s="5"/>
    </row>
    <row r="40" spans="2:5" ht="15">
      <c r="B40" s="2"/>
      <c r="C40" s="3"/>
      <c r="E40" s="5"/>
    </row>
    <row r="51" ht="15">
      <c r="A51" s="1" t="s">
        <v>37</v>
      </c>
    </row>
    <row r="52" ht="15">
      <c r="B52" s="4" t="s">
        <v>36</v>
      </c>
    </row>
    <row r="53" spans="1:2" ht="15">
      <c r="A53" s="1" t="s">
        <v>6</v>
      </c>
      <c r="B53" s="8">
        <f>(B27/Storico!B157)-1</f>
        <v>-0.017479773791162723</v>
      </c>
    </row>
    <row r="54" spans="1:2" ht="15">
      <c r="A54" s="1" t="s">
        <v>10</v>
      </c>
      <c r="B54" s="8">
        <f>(B28/Storico!B158)-1</f>
        <v>-0.4752857142857143</v>
      </c>
    </row>
    <row r="55" spans="1:2" ht="15">
      <c r="A55" s="1" t="s">
        <v>20</v>
      </c>
      <c r="B55" s="8">
        <f>(B29/Storico!B159)-1</f>
        <v>0.06719817767653757</v>
      </c>
    </row>
    <row r="56" spans="1:2" ht="15">
      <c r="A56" s="1" t="s">
        <v>14</v>
      </c>
      <c r="B56" s="8">
        <f>(B30/Storico!B160)-1</f>
        <v>0.6741896395031808</v>
      </c>
    </row>
    <row r="57" spans="1:2" ht="15">
      <c r="A57" s="1" t="s">
        <v>16</v>
      </c>
      <c r="B57" s="8">
        <f>(B31/Storico!B161)-1</f>
        <v>0.6938303899655309</v>
      </c>
    </row>
    <row r="58" spans="1:2" ht="15">
      <c r="A58" s="1" t="s">
        <v>8</v>
      </c>
      <c r="B58" s="8">
        <f>(B32/Storico!B162)-1</f>
        <v>0.7748059619479359</v>
      </c>
    </row>
    <row r="59" spans="1:2" ht="15">
      <c r="A59" s="1" t="s">
        <v>11</v>
      </c>
      <c r="B59" s="8">
        <f>(B33/Storico!B163)-1</f>
        <v>-0.04378061548102141</v>
      </c>
    </row>
    <row r="60" spans="1:2" ht="15">
      <c r="A60" s="1" t="s">
        <v>30</v>
      </c>
      <c r="B60" s="8">
        <f>(B34/Storico!B164)-1</f>
        <v>1.304023310895039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4"/>
  <sheetViews>
    <sheetView zoomScalePageLayoutView="0" workbookViewId="0" topLeftCell="A217">
      <selection activeCell="A225" sqref="A225:B234"/>
    </sheetView>
  </sheetViews>
  <sheetFormatPr defaultColWidth="8.7109375" defaultRowHeight="12.75"/>
  <cols>
    <col min="1" max="1" width="19.140625" style="1" customWidth="1"/>
    <col min="2" max="2" width="10.57421875" style="1" customWidth="1"/>
    <col min="3" max="16384" width="8.7109375" style="1" customWidth="1"/>
  </cols>
  <sheetData>
    <row r="1" ht="15">
      <c r="A1" s="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2" ht="15">
      <c r="A3" s="1">
        <v>2006</v>
      </c>
      <c r="B3" s="2">
        <v>11580</v>
      </c>
    </row>
    <row r="4" spans="1:3" ht="15">
      <c r="A4" s="1">
        <v>2007</v>
      </c>
      <c r="B4" s="2">
        <v>9088</v>
      </c>
      <c r="C4" s="3">
        <f aca="true" t="shared" si="0" ref="C4:C14">(B4-B3)/B3</f>
        <v>-0.2151986183074266</v>
      </c>
    </row>
    <row r="5" spans="1:3" ht="15">
      <c r="A5" s="1">
        <v>2008</v>
      </c>
      <c r="B5" s="2">
        <v>10995</v>
      </c>
      <c r="C5" s="3">
        <f t="shared" si="0"/>
        <v>0.20983714788732394</v>
      </c>
    </row>
    <row r="6" spans="1:3" ht="15">
      <c r="A6" s="1">
        <v>2009</v>
      </c>
      <c r="B6" s="2">
        <v>24643</v>
      </c>
      <c r="C6" s="3">
        <f t="shared" si="0"/>
        <v>1.2412914961346067</v>
      </c>
    </row>
    <row r="7" spans="1:3" ht="15">
      <c r="A7" s="1">
        <v>2010</v>
      </c>
      <c r="B7" s="2">
        <v>33474</v>
      </c>
      <c r="C7" s="3">
        <f t="shared" si="0"/>
        <v>0.3583573428559834</v>
      </c>
    </row>
    <row r="8" spans="1:3" ht="15">
      <c r="A8" s="1">
        <v>2011</v>
      </c>
      <c r="B8" s="2">
        <v>47520</v>
      </c>
      <c r="C8" s="3">
        <f t="shared" si="0"/>
        <v>0.41960924896934937</v>
      </c>
    </row>
    <row r="9" spans="1:3" ht="15">
      <c r="A9" s="1">
        <v>2012</v>
      </c>
      <c r="B9" s="2">
        <v>76599</v>
      </c>
      <c r="C9" s="3">
        <f t="shared" si="0"/>
        <v>0.6119318181818182</v>
      </c>
    </row>
    <row r="10" spans="1:3" ht="15">
      <c r="A10" s="1">
        <v>2013</v>
      </c>
      <c r="B10" s="2">
        <v>135921.14</v>
      </c>
      <c r="C10" s="3">
        <f t="shared" si="0"/>
        <v>0.7744505802947821</v>
      </c>
    </row>
    <row r="11" spans="1:3" ht="15">
      <c r="A11" s="1">
        <v>2014</v>
      </c>
      <c r="B11" s="2">
        <v>93117</v>
      </c>
      <c r="C11" s="3">
        <f t="shared" si="0"/>
        <v>-0.3149189301973189</v>
      </c>
    </row>
    <row r="12" spans="1:3" ht="15">
      <c r="A12" s="1">
        <v>2015</v>
      </c>
      <c r="B12" s="2">
        <v>101017</v>
      </c>
      <c r="C12" s="3">
        <f t="shared" si="0"/>
        <v>0.08483950299086096</v>
      </c>
    </row>
    <row r="13" spans="1:3" ht="15">
      <c r="A13" s="1">
        <v>2016</v>
      </c>
      <c r="B13" s="2">
        <v>109522</v>
      </c>
      <c r="C13" s="3">
        <f t="shared" si="0"/>
        <v>0.08419374956690458</v>
      </c>
    </row>
    <row r="14" spans="1:3" ht="15">
      <c r="A14" s="1">
        <v>2017</v>
      </c>
      <c r="B14" s="2">
        <v>110184.19</v>
      </c>
      <c r="C14" s="3">
        <f t="shared" si="0"/>
        <v>0.0060461825021457085</v>
      </c>
    </row>
    <row r="27" ht="15">
      <c r="A27" s="1" t="s">
        <v>4</v>
      </c>
    </row>
    <row r="28" ht="15">
      <c r="C28" s="1" t="s">
        <v>5</v>
      </c>
    </row>
    <row r="29" spans="1:3" ht="15">
      <c r="A29" s="1" t="s">
        <v>6</v>
      </c>
      <c r="B29" s="2">
        <v>23950</v>
      </c>
      <c r="C29" s="3">
        <f aca="true" t="shared" si="1" ref="C29:C35">B29/$B$35</f>
        <v>0.5444419186178677</v>
      </c>
    </row>
    <row r="30" spans="1:3" ht="15">
      <c r="A30" s="1" t="s">
        <v>7</v>
      </c>
      <c r="B30" s="2">
        <v>14350</v>
      </c>
      <c r="C30" s="3">
        <f t="shared" si="1"/>
        <v>0.32621050238690613</v>
      </c>
    </row>
    <row r="31" spans="1:3" ht="15">
      <c r="A31" s="1" t="s">
        <v>8</v>
      </c>
      <c r="B31" s="2">
        <v>3682</v>
      </c>
      <c r="C31" s="3">
        <f t="shared" si="1"/>
        <v>0.08370084110025006</v>
      </c>
    </row>
    <row r="32" spans="1:3" ht="15">
      <c r="A32" s="1" t="s">
        <v>9</v>
      </c>
      <c r="B32" s="2">
        <v>926</v>
      </c>
      <c r="C32" s="3">
        <f t="shared" si="1"/>
        <v>0.0210502386906115</v>
      </c>
    </row>
    <row r="33" spans="1:3" ht="15">
      <c r="A33" s="1" t="s">
        <v>10</v>
      </c>
      <c r="B33" s="2">
        <v>705</v>
      </c>
      <c r="C33" s="3">
        <f t="shared" si="1"/>
        <v>0.016026369629461242</v>
      </c>
    </row>
    <row r="34" spans="1:3" ht="15">
      <c r="A34" s="1" t="s">
        <v>11</v>
      </c>
      <c r="B34" s="2">
        <f>217+160</f>
        <v>377</v>
      </c>
      <c r="C34" s="3">
        <f t="shared" si="1"/>
        <v>0.008570129574903386</v>
      </c>
    </row>
    <row r="35" spans="2:3" ht="15">
      <c r="B35" s="2">
        <f>SUM(B29:B34)</f>
        <v>43990</v>
      </c>
      <c r="C35" s="3">
        <f t="shared" si="1"/>
        <v>1</v>
      </c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53" ht="15">
      <c r="A53" s="1" t="s">
        <v>12</v>
      </c>
    </row>
    <row r="54" spans="3:5" ht="15">
      <c r="C54" s="1" t="s">
        <v>5</v>
      </c>
      <c r="E54" s="4" t="s">
        <v>13</v>
      </c>
    </row>
    <row r="55" spans="1:5" ht="15">
      <c r="A55" s="1" t="s">
        <v>6</v>
      </c>
      <c r="B55" s="2">
        <v>21000</v>
      </c>
      <c r="C55" s="3">
        <f aca="true" t="shared" si="2" ref="C55:C62">B55/$B$64</f>
        <v>0.2877044568297408</v>
      </c>
      <c r="E55" s="5">
        <f>(B55/B29)-1</f>
        <v>-0.12317327766179542</v>
      </c>
    </row>
    <row r="56" spans="1:5" ht="15">
      <c r="A56" s="1" t="s">
        <v>10</v>
      </c>
      <c r="B56" s="2">
        <v>20200</v>
      </c>
      <c r="C56" s="3">
        <f t="shared" si="2"/>
        <v>0.27674428704575066</v>
      </c>
      <c r="E56" s="5">
        <f>(B56/B33)-1</f>
        <v>27.652482269503547</v>
      </c>
    </row>
    <row r="57" spans="1:5" ht="15">
      <c r="A57" s="1" t="s">
        <v>7</v>
      </c>
      <c r="B57" s="2">
        <v>18940</v>
      </c>
      <c r="C57" s="3">
        <f t="shared" si="2"/>
        <v>0.25948201963596623</v>
      </c>
      <c r="E57" s="5">
        <f>(B57/B30)-1</f>
        <v>0.31986062717770025</v>
      </c>
    </row>
    <row r="58" spans="1:5" ht="15">
      <c r="A58" s="1" t="s">
        <v>14</v>
      </c>
      <c r="B58" s="2">
        <f>3419+1000+3190+176+1148.01</f>
        <v>8933.01</v>
      </c>
      <c r="C58" s="3">
        <f t="shared" si="2"/>
        <v>0.12238413285260204</v>
      </c>
      <c r="D58" s="1" t="s">
        <v>15</v>
      </c>
      <c r="E58" s="5"/>
    </row>
    <row r="59" spans="1:5" ht="15">
      <c r="A59" s="1" t="s">
        <v>16</v>
      </c>
      <c r="B59" s="2">
        <f>447+58.48+1286.78</f>
        <v>1792.26</v>
      </c>
      <c r="C59" s="3">
        <f t="shared" si="2"/>
        <v>0.024554342371317678</v>
      </c>
      <c r="D59" s="1" t="s">
        <v>17</v>
      </c>
      <c r="E59" s="5"/>
    </row>
    <row r="60" spans="1:5" ht="15">
      <c r="A60" s="1" t="s">
        <v>8</v>
      </c>
      <c r="B60" s="2">
        <v>827.43</v>
      </c>
      <c r="C60" s="3">
        <f t="shared" si="2"/>
        <v>0.011335966605458686</v>
      </c>
      <c r="E60" s="5">
        <f>(B60/B31)-1</f>
        <v>-0.7752770233568713</v>
      </c>
    </row>
    <row r="61" spans="1:5" ht="15">
      <c r="A61" s="1" t="s">
        <v>11</v>
      </c>
      <c r="B61" s="2">
        <f>160.02+341.55+74+181.5</f>
        <v>757.07</v>
      </c>
      <c r="C61" s="6">
        <f t="shared" si="2"/>
        <v>0.010372019672956756</v>
      </c>
      <c r="E61" s="5">
        <f>(B61/B34)-1</f>
        <v>1.0081432360742708</v>
      </c>
    </row>
    <row r="62" spans="1:5" ht="15">
      <c r="A62" s="1" t="s">
        <v>9</v>
      </c>
      <c r="B62" s="2">
        <v>541.8</v>
      </c>
      <c r="C62" s="6">
        <f t="shared" si="2"/>
        <v>0.007422774986207311</v>
      </c>
      <c r="E62" s="5">
        <f>(B62/B32)-1</f>
        <v>-0.414902807775378</v>
      </c>
    </row>
    <row r="63" spans="1:25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5" ht="15">
      <c r="B64" s="2">
        <f>SUM(B55:B63)</f>
        <v>72991.56999999999</v>
      </c>
      <c r="C64" s="3">
        <f>B64/$B$64</f>
        <v>1</v>
      </c>
      <c r="E64" s="5">
        <f>(B64/B35)-1</f>
        <v>0.6592764264605591</v>
      </c>
    </row>
    <row r="80" ht="15">
      <c r="A80" s="1" t="s">
        <v>18</v>
      </c>
    </row>
    <row r="81" spans="3:5" ht="15">
      <c r="C81" s="1" t="s">
        <v>5</v>
      </c>
      <c r="E81" s="4" t="s">
        <v>19</v>
      </c>
    </row>
    <row r="82" spans="1:5" ht="15">
      <c r="A82" s="1" t="s">
        <v>6</v>
      </c>
      <c r="B82" s="2">
        <v>27441</v>
      </c>
      <c r="C82" s="3">
        <f aca="true" t="shared" si="3" ref="C82:C89">B82/$B$91</f>
        <v>0.20077034765147858</v>
      </c>
      <c r="E82" s="5">
        <f aca="true" t="shared" si="4" ref="E82:E89">(B82/B55)-1</f>
        <v>0.3067142857142857</v>
      </c>
    </row>
    <row r="83" spans="1:5" ht="15">
      <c r="A83" s="1" t="s">
        <v>10</v>
      </c>
      <c r="B83" s="2">
        <f>1500+58067.76+9000+10000</f>
        <v>78567.76000000001</v>
      </c>
      <c r="C83" s="3">
        <f t="shared" si="3"/>
        <v>0.5748360660835222</v>
      </c>
      <c r="E83" s="5">
        <f t="shared" si="4"/>
        <v>2.889493069306931</v>
      </c>
    </row>
    <row r="84" spans="1:5" ht="15">
      <c r="A84" s="1" t="s">
        <v>20</v>
      </c>
      <c r="B84" s="2">
        <f>14400+4200</f>
        <v>18600</v>
      </c>
      <c r="C84" s="3">
        <f t="shared" si="3"/>
        <v>0.1360857281555884</v>
      </c>
      <c r="D84" s="1" t="s">
        <v>21</v>
      </c>
      <c r="E84" s="5">
        <f t="shared" si="4"/>
        <v>-0.017951425554382228</v>
      </c>
    </row>
    <row r="85" spans="1:5" ht="15">
      <c r="A85" s="1" t="s">
        <v>14</v>
      </c>
      <c r="B85" s="2">
        <f>1650+2400</f>
        <v>4050</v>
      </c>
      <c r="C85" s="3">
        <f t="shared" si="3"/>
        <v>0.029631569840329733</v>
      </c>
      <c r="D85" s="1" t="s">
        <v>22</v>
      </c>
      <c r="E85" s="5">
        <f t="shared" si="4"/>
        <v>-0.5466253815903038</v>
      </c>
    </row>
    <row r="86" spans="1:5" ht="15">
      <c r="A86" s="1" t="s">
        <v>16</v>
      </c>
      <c r="B86" s="2">
        <f>1151.57+1046.61+800</f>
        <v>2998.18</v>
      </c>
      <c r="C86" s="3">
        <f t="shared" si="3"/>
        <v>0.021935995077501182</v>
      </c>
      <c r="D86" s="1" t="s">
        <v>23</v>
      </c>
      <c r="E86" s="5">
        <f t="shared" si="4"/>
        <v>0.6728488054188566</v>
      </c>
    </row>
    <row r="87" spans="1:5" ht="15">
      <c r="A87" s="1" t="s">
        <v>8</v>
      </c>
      <c r="B87" s="2">
        <f>2750+452.54</f>
        <v>3202.54</v>
      </c>
      <c r="C87" s="3">
        <f t="shared" si="3"/>
        <v>0.02343118214233323</v>
      </c>
      <c r="E87" s="5">
        <f t="shared" si="4"/>
        <v>2.870466383863288</v>
      </c>
    </row>
    <row r="88" spans="1:5" ht="15">
      <c r="A88" s="1" t="s">
        <v>11</v>
      </c>
      <c r="B88" s="2">
        <f>176.7+160.02+400.59+87.8+19.8</f>
        <v>844.9099999999999</v>
      </c>
      <c r="C88" s="3">
        <f t="shared" si="3"/>
        <v>0.006181730783652591</v>
      </c>
      <c r="E88" s="5">
        <f t="shared" si="4"/>
        <v>0.11602625913059539</v>
      </c>
    </row>
    <row r="89" spans="1:5" ht="15">
      <c r="A89" s="1" t="s">
        <v>9</v>
      </c>
      <c r="B89" s="2">
        <v>974.16</v>
      </c>
      <c r="C89" s="3">
        <f t="shared" si="3"/>
        <v>0.007127380265593978</v>
      </c>
      <c r="E89" s="5">
        <f t="shared" si="4"/>
        <v>0.7980066445182725</v>
      </c>
    </row>
    <row r="90" spans="1:3" ht="15">
      <c r="A90"/>
      <c r="B90"/>
      <c r="C90"/>
    </row>
    <row r="91" spans="2:5" ht="15">
      <c r="B91" s="2">
        <f>SUM(B82:B90)</f>
        <v>136678.55000000002</v>
      </c>
      <c r="C91" s="3">
        <f>B91/$B$91</f>
        <v>1</v>
      </c>
      <c r="E91" s="5">
        <f>(B91/B64)-1</f>
        <v>0.8725251422869795</v>
      </c>
    </row>
    <row r="93" ht="15">
      <c r="B93" s="7"/>
    </row>
    <row r="108" ht="15">
      <c r="A108" s="1" t="s">
        <v>24</v>
      </c>
    </row>
    <row r="109" spans="2:5" ht="15">
      <c r="B109" s="1" t="s">
        <v>2</v>
      </c>
      <c r="C109" s="1" t="s">
        <v>5</v>
      </c>
      <c r="E109" s="4" t="s">
        <v>25</v>
      </c>
    </row>
    <row r="110" spans="1:5" ht="15">
      <c r="A110" s="1" t="s">
        <v>6</v>
      </c>
      <c r="B110" s="2">
        <v>23000</v>
      </c>
      <c r="C110" s="3">
        <f aca="true" t="shared" si="5" ref="C110:C117">B110/$B$119</f>
        <v>0.35607579088690583</v>
      </c>
      <c r="E110" s="5">
        <f aca="true" t="shared" si="6" ref="E110:E117">(B110/B82)-1</f>
        <v>-0.16183812543274667</v>
      </c>
    </row>
    <row r="111" spans="1:5" ht="15">
      <c r="A111" s="1" t="s">
        <v>10</v>
      </c>
      <c r="B111" s="2">
        <v>8750</v>
      </c>
      <c r="C111" s="3">
        <f t="shared" si="5"/>
        <v>0.1354636160982794</v>
      </c>
      <c r="E111" s="5">
        <f t="shared" si="6"/>
        <v>-0.8886311637241535</v>
      </c>
    </row>
    <row r="112" spans="1:5" ht="15">
      <c r="A112" s="1" t="s">
        <v>20</v>
      </c>
      <c r="B112" s="2">
        <f>15900+4275+2400</f>
        <v>22575</v>
      </c>
      <c r="C112" s="3">
        <f t="shared" si="5"/>
        <v>0.34949612953356085</v>
      </c>
      <c r="D112" s="1" t="s">
        <v>21</v>
      </c>
      <c r="E112" s="5">
        <f t="shared" si="6"/>
        <v>0.21370967741935476</v>
      </c>
    </row>
    <row r="113" spans="1:5" ht="15">
      <c r="A113" s="1" t="s">
        <v>14</v>
      </c>
      <c r="B113" s="2">
        <f>1500+1817+240</f>
        <v>3557</v>
      </c>
      <c r="C113" s="3">
        <f t="shared" si="5"/>
        <v>0.055067895138466265</v>
      </c>
      <c r="D113" s="1" t="s">
        <v>22</v>
      </c>
      <c r="E113" s="5">
        <f t="shared" si="6"/>
        <v>-0.12172839506172839</v>
      </c>
    </row>
    <row r="114" spans="1:5" ht="15">
      <c r="A114" s="1" t="s">
        <v>16</v>
      </c>
      <c r="B114" s="2">
        <f>2652.72+1110.02+700+270</f>
        <v>4732.74</v>
      </c>
      <c r="C114" s="3">
        <f t="shared" si="5"/>
        <v>0.07327017993748237</v>
      </c>
      <c r="D114" s="1" t="s">
        <v>23</v>
      </c>
      <c r="E114" s="5">
        <f t="shared" si="6"/>
        <v>0.5785376461720111</v>
      </c>
    </row>
    <row r="115" spans="1:5" ht="15">
      <c r="A115" s="1" t="s">
        <v>8</v>
      </c>
      <c r="B115" s="2">
        <v>150</v>
      </c>
      <c r="C115" s="6">
        <f t="shared" si="5"/>
        <v>0.002322233418827647</v>
      </c>
      <c r="E115" s="5">
        <f t="shared" si="6"/>
        <v>-0.9531621775215923</v>
      </c>
    </row>
    <row r="116" spans="1:5" ht="15">
      <c r="A116" s="1" t="s">
        <v>11</v>
      </c>
      <c r="B116" s="2">
        <f>160.02+376.95+88.2+10</f>
        <v>635.1700000000001</v>
      </c>
      <c r="C116" s="3">
        <f t="shared" si="5"/>
        <v>0.009833420004245044</v>
      </c>
      <c r="E116" s="5">
        <f t="shared" si="6"/>
        <v>-0.24823945745700704</v>
      </c>
    </row>
    <row r="117" spans="1:5" ht="15">
      <c r="A117" s="1" t="s">
        <v>9</v>
      </c>
      <c r="B117" s="2">
        <v>1193.08</v>
      </c>
      <c r="C117" s="3">
        <f t="shared" si="5"/>
        <v>0.018470734982232593</v>
      </c>
      <c r="E117" s="5">
        <f t="shared" si="6"/>
        <v>0.2247269442391393</v>
      </c>
    </row>
    <row r="118" spans="1:3" ht="15">
      <c r="A118"/>
      <c r="B118"/>
      <c r="C118"/>
    </row>
    <row r="119" spans="2:5" ht="15">
      <c r="B119" s="2">
        <f>SUM(B110:B118)</f>
        <v>64592.99</v>
      </c>
      <c r="C119" s="3">
        <f>B119/$B$119</f>
        <v>1</v>
      </c>
      <c r="E119" s="5">
        <f>(B119/B91)-1</f>
        <v>-0.5274094581776</v>
      </c>
    </row>
    <row r="127" spans="1:5" ht="15">
      <c r="A127"/>
      <c r="B127"/>
      <c r="C127"/>
      <c r="D127"/>
      <c r="E127"/>
    </row>
    <row r="128" spans="1:6" ht="15">
      <c r="A128"/>
      <c r="B128"/>
      <c r="C128"/>
      <c r="D128"/>
      <c r="E128"/>
      <c r="F128"/>
    </row>
    <row r="129" spans="1:6" ht="15">
      <c r="A129"/>
      <c r="B129"/>
      <c r="C129"/>
      <c r="D129"/>
      <c r="E129"/>
      <c r="F129"/>
    </row>
    <row r="130" spans="1:6" ht="15">
      <c r="A130"/>
      <c r="B130"/>
      <c r="C130"/>
      <c r="D130"/>
      <c r="E130"/>
      <c r="F130"/>
    </row>
    <row r="131" spans="1:6" ht="15">
      <c r="A131"/>
      <c r="B131"/>
      <c r="C131"/>
      <c r="D131"/>
      <c r="E131"/>
      <c r="F131"/>
    </row>
    <row r="132" spans="1:6" ht="15">
      <c r="A132"/>
      <c r="B132"/>
      <c r="C132"/>
      <c r="D132"/>
      <c r="E132"/>
      <c r="F132"/>
    </row>
    <row r="133" spans="1:6" ht="15">
      <c r="A133"/>
      <c r="B133"/>
      <c r="C133"/>
      <c r="D133"/>
      <c r="E133"/>
      <c r="F133"/>
    </row>
    <row r="134" spans="1:6" ht="15">
      <c r="A134"/>
      <c r="B134"/>
      <c r="C134"/>
      <c r="D134"/>
      <c r="E134"/>
      <c r="F134"/>
    </row>
    <row r="135" spans="1:6" ht="15">
      <c r="A135"/>
      <c r="B135"/>
      <c r="C135"/>
      <c r="D135"/>
      <c r="E135"/>
      <c r="F135"/>
    </row>
    <row r="136" spans="1:6" ht="15">
      <c r="A136"/>
      <c r="B136"/>
      <c r="C136"/>
      <c r="D136"/>
      <c r="E136"/>
      <c r="F136"/>
    </row>
    <row r="137" spans="1:6" ht="15">
      <c r="A137"/>
      <c r="B137"/>
      <c r="C137"/>
      <c r="D137"/>
      <c r="E137"/>
      <c r="F137"/>
    </row>
    <row r="138" spans="1:6" ht="15">
      <c r="A138"/>
      <c r="B138"/>
      <c r="C138"/>
      <c r="D138"/>
      <c r="E138"/>
      <c r="F138"/>
    </row>
    <row r="139" spans="1:6" ht="15">
      <c r="A139" s="1" t="s">
        <v>26</v>
      </c>
      <c r="F139"/>
    </row>
    <row r="140" spans="3:5" ht="15">
      <c r="C140" s="1" t="s">
        <v>5</v>
      </c>
      <c r="E140" s="4" t="s">
        <v>27</v>
      </c>
    </row>
    <row r="141" spans="1:5" ht="15">
      <c r="A141" s="1" t="s">
        <v>6</v>
      </c>
      <c r="B141" s="2">
        <v>50126</v>
      </c>
      <c r="C141" s="3">
        <f aca="true" t="shared" si="7" ref="C141:C148">B141/$B$150</f>
        <v>0.4788980014898327</v>
      </c>
      <c r="E141" s="5">
        <f aca="true" t="shared" si="8" ref="E141:E148">(B141/B110)-1</f>
        <v>1.179391304347826</v>
      </c>
    </row>
    <row r="142" spans="1:5" ht="15">
      <c r="A142" s="1" t="s">
        <v>10</v>
      </c>
      <c r="B142" s="2">
        <v>2365</v>
      </c>
      <c r="C142" s="3">
        <f t="shared" si="7"/>
        <v>0.022594936231166547</v>
      </c>
      <c r="E142" s="5">
        <f t="shared" si="8"/>
        <v>-0.7297142857142858</v>
      </c>
    </row>
    <row r="143" spans="1:5" ht="15">
      <c r="A143" s="1" t="s">
        <v>20</v>
      </c>
      <c r="B143" s="2">
        <f>32400+6300+2400</f>
        <v>41100</v>
      </c>
      <c r="C143" s="3">
        <f t="shared" si="7"/>
        <v>0.39266464232598103</v>
      </c>
      <c r="D143" s="1" t="s">
        <v>28</v>
      </c>
      <c r="E143" s="5">
        <f t="shared" si="8"/>
        <v>0.8205980066445182</v>
      </c>
    </row>
    <row r="144" spans="1:5" ht="15">
      <c r="A144" s="1" t="s">
        <v>14</v>
      </c>
      <c r="B144" s="2">
        <f>2250+1000+1917</f>
        <v>5167</v>
      </c>
      <c r="C144" s="3">
        <f t="shared" si="7"/>
        <v>0.04936491987587211</v>
      </c>
      <c r="D144" s="1" t="s">
        <v>29</v>
      </c>
      <c r="E144" s="5">
        <f t="shared" si="8"/>
        <v>0.45262861962327805</v>
      </c>
    </row>
    <row r="145" spans="1:5" ht="15">
      <c r="A145" s="1" t="s">
        <v>16</v>
      </c>
      <c r="B145" s="2">
        <f>200+1321.98+1132.46+425.07</f>
        <v>3079.51</v>
      </c>
      <c r="C145" s="3">
        <f t="shared" si="7"/>
        <v>0.02942128206056647</v>
      </c>
      <c r="D145" s="1" t="s">
        <v>23</v>
      </c>
      <c r="E145" s="5">
        <f t="shared" si="8"/>
        <v>-0.34931773137759514</v>
      </c>
    </row>
    <row r="146" spans="1:5" ht="15">
      <c r="A146" s="1" t="s">
        <v>8</v>
      </c>
      <c r="B146" s="2">
        <f>210+150</f>
        <v>360</v>
      </c>
      <c r="C146" s="6">
        <f t="shared" si="7"/>
        <v>0.003439398326942899</v>
      </c>
      <c r="E146" s="5">
        <f t="shared" si="8"/>
        <v>1.4</v>
      </c>
    </row>
    <row r="147" spans="1:5" ht="15">
      <c r="A147" s="1" t="s">
        <v>11</v>
      </c>
      <c r="B147" s="2">
        <f>265.7+10+160.02+544.46+94.6+15.83</f>
        <v>1090.61</v>
      </c>
      <c r="C147" s="3">
        <f t="shared" si="7"/>
        <v>0.010419561692631097</v>
      </c>
      <c r="E147" s="5">
        <f t="shared" si="8"/>
        <v>0.7170363839601992</v>
      </c>
    </row>
    <row r="148" spans="1:5" ht="15">
      <c r="A148" s="1" t="s">
        <v>30</v>
      </c>
      <c r="B148" s="2">
        <v>1381.35</v>
      </c>
      <c r="C148" s="3">
        <f t="shared" si="7"/>
        <v>0.01319725799700715</v>
      </c>
      <c r="E148" s="5">
        <f t="shared" si="8"/>
        <v>0.15780165621752107</v>
      </c>
    </row>
    <row r="149" spans="1:3" ht="15">
      <c r="A149"/>
      <c r="B149"/>
      <c r="C149"/>
    </row>
    <row r="150" spans="2:5" ht="15">
      <c r="B150" s="2">
        <f>SUM(B141:B149)</f>
        <v>104669.47</v>
      </c>
      <c r="C150" s="3">
        <f>B150/$B$150</f>
        <v>1</v>
      </c>
      <c r="E150" s="5">
        <f>(B150/B119)-1</f>
        <v>0.6204462744331856</v>
      </c>
    </row>
    <row r="155" ht="15">
      <c r="A155" s="1" t="s">
        <v>31</v>
      </c>
    </row>
    <row r="156" spans="3:5" ht="15">
      <c r="C156" s="1" t="s">
        <v>5</v>
      </c>
      <c r="E156" s="4" t="s">
        <v>32</v>
      </c>
    </row>
    <row r="157" spans="1:5" ht="15">
      <c r="A157" s="1" t="s">
        <v>6</v>
      </c>
      <c r="B157" s="2">
        <v>36957</v>
      </c>
      <c r="C157" s="3">
        <f aca="true" t="shared" si="9" ref="C157:C164">B157/$B$166</f>
        <v>0.36224241552185765</v>
      </c>
      <c r="E157" s="5">
        <f aca="true" t="shared" si="10" ref="E157:E164">(B157/B141)-1</f>
        <v>-0.26271795076407456</v>
      </c>
    </row>
    <row r="158" spans="1:5" ht="15">
      <c r="A158" s="1" t="s">
        <v>10</v>
      </c>
      <c r="B158" s="2">
        <v>7000</v>
      </c>
      <c r="C158" s="3">
        <f t="shared" si="9"/>
        <v>0.0686120872541874</v>
      </c>
      <c r="D158" s="1" t="s">
        <v>33</v>
      </c>
      <c r="E158" s="5">
        <f t="shared" si="10"/>
        <v>1.9598308668076112</v>
      </c>
    </row>
    <row r="159" spans="1:5" ht="15">
      <c r="A159" s="1" t="s">
        <v>20</v>
      </c>
      <c r="B159" s="2">
        <f>30450+11050+2400</f>
        <v>43900</v>
      </c>
      <c r="C159" s="3">
        <f t="shared" si="9"/>
        <v>0.43029580435126097</v>
      </c>
      <c r="D159" s="1" t="s">
        <v>28</v>
      </c>
      <c r="E159" s="5">
        <f t="shared" si="10"/>
        <v>0.06812652068126512</v>
      </c>
    </row>
    <row r="160" spans="1:5" ht="15">
      <c r="A160" s="1" t="s">
        <v>14</v>
      </c>
      <c r="B160" s="2">
        <f>3112+300+3190</f>
        <v>6602</v>
      </c>
      <c r="C160" s="3">
        <f t="shared" si="9"/>
        <v>0.06471100000744931</v>
      </c>
      <c r="D160" s="1" t="s">
        <v>29</v>
      </c>
      <c r="E160" s="5">
        <f t="shared" si="10"/>
        <v>0.27772401780530287</v>
      </c>
    </row>
    <row r="161" spans="1:5" ht="15">
      <c r="A161" s="1" t="s">
        <v>16</v>
      </c>
      <c r="B161" s="2">
        <f>761.55+2902.12+1221.89</f>
        <v>4885.56</v>
      </c>
      <c r="C161" s="3">
        <f t="shared" si="9"/>
        <v>0.047886924143652546</v>
      </c>
      <c r="D161" s="1" t="s">
        <v>23</v>
      </c>
      <c r="E161" s="5">
        <f t="shared" si="10"/>
        <v>0.5864731726800692</v>
      </c>
    </row>
    <row r="162" spans="1:5" ht="15">
      <c r="A162" s="1" t="s">
        <v>8</v>
      </c>
      <c r="B162" s="2">
        <f>617.59+32+78.36</f>
        <v>727.95</v>
      </c>
      <c r="C162" s="3">
        <f t="shared" si="9"/>
        <v>0.00713516698809796</v>
      </c>
      <c r="E162" s="5">
        <f t="shared" si="10"/>
        <v>1.0220833333333337</v>
      </c>
    </row>
    <row r="163" spans="1:5" ht="15">
      <c r="A163" s="1" t="s">
        <v>11</v>
      </c>
      <c r="B163" s="2">
        <f>10+360.02+575.92+96+216.63+50</f>
        <v>1308.5700000000002</v>
      </c>
      <c r="C163" s="3">
        <f t="shared" si="9"/>
        <v>0.012826245574030289</v>
      </c>
      <c r="E163" s="5">
        <f t="shared" si="10"/>
        <v>0.19985145927508485</v>
      </c>
    </row>
    <row r="164" spans="1:5" ht="15">
      <c r="A164" s="1" t="s">
        <v>30</v>
      </c>
      <c r="B164" s="2">
        <f>61+580.76</f>
        <v>641.76</v>
      </c>
      <c r="C164" s="3">
        <f t="shared" si="9"/>
        <v>0.006290356159463901</v>
      </c>
      <c r="E164" s="5">
        <f t="shared" si="10"/>
        <v>-0.5354110109675317</v>
      </c>
    </row>
    <row r="165" spans="1:5" ht="15">
      <c r="A165"/>
      <c r="B165"/>
      <c r="C165"/>
      <c r="E165" s="5"/>
    </row>
    <row r="166" spans="2:5" ht="15">
      <c r="B166" s="2">
        <f>SUM(B157:B165)</f>
        <v>102022.84</v>
      </c>
      <c r="C166" s="3">
        <f>B166/$B$166</f>
        <v>1</v>
      </c>
      <c r="E166" s="5">
        <f>(B166/B150)-1</f>
        <v>-0.02528559665010255</v>
      </c>
    </row>
    <row r="176" ht="15">
      <c r="A176" s="1" t="s">
        <v>34</v>
      </c>
    </row>
    <row r="177" ht="15">
      <c r="B177" s="4" t="s">
        <v>32</v>
      </c>
    </row>
    <row r="178" spans="1:2" ht="15">
      <c r="A178" s="1" t="s">
        <v>6</v>
      </c>
      <c r="B178" s="5">
        <f aca="true" t="shared" si="11" ref="B178:B185">E157</f>
        <v>-0.26271795076407456</v>
      </c>
    </row>
    <row r="179" spans="1:2" ht="15">
      <c r="A179" s="1" t="s">
        <v>10</v>
      </c>
      <c r="B179" s="5">
        <f t="shared" si="11"/>
        <v>1.9598308668076112</v>
      </c>
    </row>
    <row r="180" spans="1:2" ht="15">
      <c r="A180" s="1" t="s">
        <v>20</v>
      </c>
      <c r="B180" s="5">
        <f t="shared" si="11"/>
        <v>0.06812652068126512</v>
      </c>
    </row>
    <row r="181" spans="1:2" ht="15">
      <c r="A181" s="1" t="s">
        <v>14</v>
      </c>
      <c r="B181" s="5">
        <f t="shared" si="11"/>
        <v>0.27772401780530287</v>
      </c>
    </row>
    <row r="182" spans="1:2" ht="15">
      <c r="A182" s="1" t="s">
        <v>16</v>
      </c>
      <c r="B182" s="5">
        <f t="shared" si="11"/>
        <v>0.5864731726800692</v>
      </c>
    </row>
    <row r="183" spans="1:2" ht="15">
      <c r="A183" s="1" t="s">
        <v>8</v>
      </c>
      <c r="B183" s="5">
        <f t="shared" si="11"/>
        <v>1.0220833333333337</v>
      </c>
    </row>
    <row r="184" spans="1:2" ht="15">
      <c r="A184" s="1" t="s">
        <v>11</v>
      </c>
      <c r="B184" s="5">
        <f t="shared" si="11"/>
        <v>0.19985145927508485</v>
      </c>
    </row>
    <row r="185" spans="1:2" ht="15">
      <c r="A185" s="1" t="s">
        <v>30</v>
      </c>
      <c r="B185" s="5">
        <f t="shared" si="11"/>
        <v>-0.5354110109675317</v>
      </c>
    </row>
    <row r="201" ht="15">
      <c r="A201" s="1" t="s">
        <v>35</v>
      </c>
    </row>
    <row r="202" spans="3:5" ht="15">
      <c r="C202" s="1" t="s">
        <v>5</v>
      </c>
      <c r="E202" s="4"/>
    </row>
    <row r="203" spans="1:5" ht="15">
      <c r="A203" s="1" t="s">
        <v>6</v>
      </c>
      <c r="B203" s="2">
        <v>36311</v>
      </c>
      <c r="C203" s="3">
        <f>B203/$B$212</f>
        <v>0.32954818654109996</v>
      </c>
      <c r="E203" s="5"/>
    </row>
    <row r="204" spans="1:5" ht="15">
      <c r="A204" s="1" t="s">
        <v>10</v>
      </c>
      <c r="B204" s="2">
        <v>3673</v>
      </c>
      <c r="C204" s="3">
        <f aca="true" t="shared" si="12" ref="C204:C210">B204/$B$212</f>
        <v>0.03333509099626725</v>
      </c>
      <c r="D204" s="1" t="s">
        <v>33</v>
      </c>
      <c r="E204" s="5"/>
    </row>
    <row r="205" spans="1:5" ht="15">
      <c r="A205" s="1" t="s">
        <v>20</v>
      </c>
      <c r="B205" s="2">
        <f>30000+14450+2400</f>
        <v>46850</v>
      </c>
      <c r="C205" s="3">
        <f t="shared" si="12"/>
        <v>0.4251971176627064</v>
      </c>
      <c r="D205" s="1" t="s">
        <v>28</v>
      </c>
      <c r="E205" s="5"/>
    </row>
    <row r="206" spans="1:5" ht="15">
      <c r="A206" s="1" t="s">
        <v>14</v>
      </c>
      <c r="B206" s="2">
        <f>4275+3700+3078</f>
        <v>11053</v>
      </c>
      <c r="C206" s="3">
        <f t="shared" si="12"/>
        <v>0.10031384720439475</v>
      </c>
      <c r="D206" s="1" t="s">
        <v>29</v>
      </c>
      <c r="E206" s="5"/>
    </row>
    <row r="207" spans="1:5" ht="15">
      <c r="A207" s="1" t="s">
        <v>16</v>
      </c>
      <c r="B207" s="2">
        <f>6285.09+1000.2+990.02</f>
        <v>8275.31</v>
      </c>
      <c r="C207" s="3">
        <f t="shared" si="12"/>
        <v>0.07510433211879126</v>
      </c>
      <c r="D207" s="1" t="s">
        <v>23</v>
      </c>
      <c r="E207" s="5"/>
    </row>
    <row r="208" spans="1:5" ht="15">
      <c r="A208" s="1" t="s">
        <v>8</v>
      </c>
      <c r="B208" s="2">
        <f>150+1132+9.97</f>
        <v>1291.97</v>
      </c>
      <c r="C208" s="3">
        <f t="shared" si="12"/>
        <v>0.011725547921167274</v>
      </c>
      <c r="E208" s="5"/>
    </row>
    <row r="209" spans="1:5" ht="15">
      <c r="A209" s="1" t="s">
        <v>11</v>
      </c>
      <c r="B209" s="2">
        <f>30+20+360+129.25+596.28+115.75</f>
        <v>1251.28</v>
      </c>
      <c r="C209" s="3">
        <f t="shared" si="12"/>
        <v>0.01135625719080024</v>
      </c>
      <c r="E209" s="5"/>
    </row>
    <row r="210" spans="1:5" ht="15">
      <c r="A210" s="1" t="s">
        <v>30</v>
      </c>
      <c r="B210" s="2">
        <f>986.2+492.43</f>
        <v>1478.63</v>
      </c>
      <c r="C210" s="3">
        <f t="shared" si="12"/>
        <v>0.013419620364772842</v>
      </c>
      <c r="E210" s="5"/>
    </row>
    <row r="211" spans="1:5" ht="15">
      <c r="A211"/>
      <c r="B211"/>
      <c r="C211"/>
      <c r="E211" s="5"/>
    </row>
    <row r="212" spans="2:5" ht="15">
      <c r="B212" s="2">
        <f>SUM(B203:B211)</f>
        <v>110184.19</v>
      </c>
      <c r="C212" s="3">
        <f>B212/$B$212</f>
        <v>1</v>
      </c>
      <c r="E212" s="5"/>
    </row>
    <row r="225" ht="15">
      <c r="A225" s="1" t="s">
        <v>37</v>
      </c>
    </row>
    <row r="226" ht="15">
      <c r="B226" s="4" t="s">
        <v>36</v>
      </c>
    </row>
    <row r="227" spans="1:2" ht="15">
      <c r="A227" s="1" t="s">
        <v>6</v>
      </c>
      <c r="B227" s="8">
        <f aca="true" t="shared" si="13" ref="B227:B234">(B203/B157)-1</f>
        <v>-0.017479773791162723</v>
      </c>
    </row>
    <row r="228" spans="1:2" ht="15">
      <c r="A228" s="1" t="s">
        <v>10</v>
      </c>
      <c r="B228" s="8">
        <f t="shared" si="13"/>
        <v>-0.4752857142857143</v>
      </c>
    </row>
    <row r="229" spans="1:2" ht="15">
      <c r="A229" s="1" t="s">
        <v>20</v>
      </c>
      <c r="B229" s="8">
        <f t="shared" si="13"/>
        <v>0.06719817767653757</v>
      </c>
    </row>
    <row r="230" spans="1:2" ht="15">
      <c r="A230" s="1" t="s">
        <v>14</v>
      </c>
      <c r="B230" s="8">
        <f t="shared" si="13"/>
        <v>0.6741896395031808</v>
      </c>
    </row>
    <row r="231" spans="1:2" ht="15">
      <c r="A231" s="1" t="s">
        <v>16</v>
      </c>
      <c r="B231" s="8">
        <f t="shared" si="13"/>
        <v>0.6938303899655309</v>
      </c>
    </row>
    <row r="232" spans="1:2" ht="15">
      <c r="A232" s="1" t="s">
        <v>8</v>
      </c>
      <c r="B232" s="8">
        <f t="shared" si="13"/>
        <v>0.7748059619479359</v>
      </c>
    </row>
    <row r="233" spans="1:2" ht="15">
      <c r="A233" s="1" t="s">
        <v>11</v>
      </c>
      <c r="B233" s="8">
        <f t="shared" si="13"/>
        <v>-0.04378061548102141</v>
      </c>
    </row>
    <row r="234" spans="1:2" ht="15">
      <c r="A234" s="1" t="s">
        <v>30</v>
      </c>
      <c r="B234" s="8">
        <f t="shared" si="13"/>
        <v>1.304023310895039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Beffa</dc:creator>
  <cp:keywords/>
  <dc:description/>
  <cp:lastModifiedBy>admin</cp:lastModifiedBy>
  <cp:lastPrinted>2018-02-21T23:08:02Z</cp:lastPrinted>
  <dcterms:created xsi:type="dcterms:W3CDTF">2018-02-12T14:42:08Z</dcterms:created>
  <dcterms:modified xsi:type="dcterms:W3CDTF">2018-02-27T11:23:22Z</dcterms:modified>
  <cp:category/>
  <cp:version/>
  <cp:contentType/>
  <cp:contentStatus/>
</cp:coreProperties>
</file>